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XTECH Dropbox\LUXTECH Team Folder\Products\LUXwrap\"/>
    </mc:Choice>
  </mc:AlternateContent>
  <xr:revisionPtr revIDLastSave="0" documentId="13_ncr:1_{A79D278A-DB7C-45F4-93BE-E1393C23897B}" xr6:coauthVersionLast="47" xr6:coauthVersionMax="47" xr10:uidLastSave="{00000000-0000-0000-0000-000000000000}"/>
  <bookViews>
    <workbookView xWindow="-120" yWindow="-120" windowWidth="29040" windowHeight="15720" xr2:uid="{8D209C04-24BC-456D-B90C-AD50CC33CCBC}"/>
  </bookViews>
  <sheets>
    <sheet name="LUXwrap Pro Performance Calc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" i="5" l="1"/>
  <c r="O14" i="5"/>
  <c r="O13" i="5"/>
  <c r="F11" i="5"/>
  <c r="U43" i="5" l="1"/>
  <c r="U42" i="5"/>
  <c r="AD43" i="5"/>
  <c r="AD42" i="5"/>
  <c r="U44" i="5" l="1"/>
  <c r="U45" i="5" s="1"/>
  <c r="U46" i="5"/>
  <c r="AD44" i="5"/>
  <c r="AD45" i="5" s="1"/>
  <c r="AD49" i="5" l="1"/>
  <c r="J14" i="5" s="1"/>
  <c r="AD47" i="5"/>
  <c r="J12" i="5" s="1"/>
  <c r="AD48" i="5"/>
  <c r="J13" i="5" s="1"/>
  <c r="U49" i="5" l="1"/>
  <c r="F14" i="5" s="1"/>
  <c r="U47" i="5"/>
  <c r="U48" i="5" s="1"/>
  <c r="AD46" i="5"/>
  <c r="J11" i="5" s="1"/>
  <c r="F12" i="5" l="1"/>
  <c r="F13" i="5"/>
  <c r="J16" i="5"/>
  <c r="J15" i="5" s="1"/>
  <c r="F16" i="5" l="1"/>
  <c r="F15" i="5" s="1"/>
</calcChain>
</file>

<file path=xl/sharedStrings.xml><?xml version="1.0" encoding="utf-8"?>
<sst xmlns="http://schemas.openxmlformats.org/spreadsheetml/2006/main" count="141" uniqueCount="74">
  <si>
    <t>Linear Flux</t>
  </si>
  <si>
    <t>lm/ft</t>
  </si>
  <si>
    <t>input</t>
  </si>
  <si>
    <t>calculated</t>
  </si>
  <si>
    <t>output</t>
  </si>
  <si>
    <t>Legend</t>
  </si>
  <si>
    <t>in</t>
  </si>
  <si>
    <t>LED pitch</t>
  </si>
  <si>
    <t>Length</t>
  </si>
  <si>
    <t>mA</t>
  </si>
  <si>
    <t>Flux per LED</t>
  </si>
  <si>
    <t>lm</t>
  </si>
  <si>
    <t>Total Flux</t>
  </si>
  <si>
    <t>Current per LED</t>
  </si>
  <si>
    <t>Junction Temperature</t>
  </si>
  <si>
    <t>LED Max Drive Current</t>
  </si>
  <si>
    <t>constant</t>
  </si>
  <si>
    <t>2700K, 90CRI</t>
  </si>
  <si>
    <t>3000K, 90CRI</t>
  </si>
  <si>
    <t>3500K, 90CRI</t>
  </si>
  <si>
    <t>4000K, 90CRI</t>
  </si>
  <si>
    <t>LED CCT, CRI</t>
  </si>
  <si>
    <t>LED series count</t>
  </si>
  <si>
    <t>W</t>
  </si>
  <si>
    <t>V</t>
  </si>
  <si>
    <t>Forward Voltage</t>
  </si>
  <si>
    <t>Power</t>
  </si>
  <si>
    <t>Efficacy</t>
  </si>
  <si>
    <t>lm/W</t>
  </si>
  <si>
    <t xml:space="preserve"> °C</t>
  </si>
  <si>
    <t>Outside System Limits</t>
  </si>
  <si>
    <t>lms/W</t>
  </si>
  <si>
    <t>lms/ft</t>
  </si>
  <si>
    <t>mA/ft</t>
  </si>
  <si>
    <t>Empirical Data from Sphere Testing</t>
  </si>
  <si>
    <t>Vf</t>
  </si>
  <si>
    <t>mA vs Lm per foot</t>
  </si>
  <si>
    <t>b</t>
  </si>
  <si>
    <t>Multiplier (lms) @ 25 °C</t>
  </si>
  <si>
    <t>Drive Current Calculations</t>
  </si>
  <si>
    <t>Drive Current Input</t>
  </si>
  <si>
    <t>Length Input</t>
  </si>
  <si>
    <t>mA/LED</t>
  </si>
  <si>
    <t>mA/length</t>
  </si>
  <si>
    <t>Drive Current/ft</t>
  </si>
  <si>
    <t>lm/LED</t>
  </si>
  <si>
    <t>Lumens</t>
  </si>
  <si>
    <t>a</t>
  </si>
  <si>
    <t>c</t>
  </si>
  <si>
    <t>Multiplier</t>
  </si>
  <si>
    <t>Lumen Input</t>
  </si>
  <si>
    <t>Drive Current</t>
  </si>
  <si>
    <t>Version 1.0</t>
  </si>
  <si>
    <t>Calculations carry ±10% tolerance.</t>
  </si>
  <si>
    <t>Linear Flux Input</t>
  </si>
  <si>
    <t>Temperature (C)</t>
  </si>
  <si>
    <t>Total Drive Current</t>
  </si>
  <si>
    <t>CCT/CRI</t>
  </si>
  <si>
    <t>Limit</t>
  </si>
  <si>
    <t>Input</t>
  </si>
  <si>
    <t>Output</t>
  </si>
  <si>
    <t>Typ Flux from Datasheet</t>
  </si>
  <si>
    <t>Lumen Output Calculations</t>
  </si>
  <si>
    <t>LEDs/ft</t>
  </si>
  <si>
    <t>in/ft</t>
  </si>
  <si>
    <t>x</t>
  </si>
  <si>
    <t>y</t>
  </si>
  <si>
    <t>CCT</t>
  </si>
  <si>
    <t>CRI Ra</t>
  </si>
  <si>
    <t>CRI R9</t>
  </si>
  <si>
    <t>lms</t>
  </si>
  <si>
    <t>mA/PCB</t>
  </si>
  <si>
    <t>Low End Sphere Data 2/9/2026 3000K 90CRI 400-1119</t>
  </si>
  <si>
    <t>LUXwrap Pro Performance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</si>
</sst>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7" borderId="0" applyNumberFormat="0" applyBorder="0" applyAlignment="0" applyProtection="0"/>
  </cellStyleXfs>
  <cellXfs count="56">
    <xf numFmtId="0" fontId="0" fillId="0" borderId="0" xfId="0"/>
    <xf numFmtId="0" fontId="5" fillId="7" borderId="4" xfId="1" applyBorder="1" applyAlignment="1" applyProtection="1"/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1" fontId="1" fillId="4" borderId="10" xfId="0" applyNumberFormat="1" applyFont="1" applyFill="1" applyBorder="1"/>
    <xf numFmtId="1" fontId="1" fillId="4" borderId="0" xfId="0" applyNumberFormat="1" applyFont="1" applyFill="1" applyAlignment="1">
      <alignment horizontal="right"/>
    </xf>
    <xf numFmtId="2" fontId="1" fillId="4" borderId="0" xfId="0" applyNumberFormat="1" applyFont="1" applyFill="1" applyAlignment="1">
      <alignment horizontal="right"/>
    </xf>
    <xf numFmtId="164" fontId="1" fillId="4" borderId="11" xfId="0" applyNumberFormat="1" applyFont="1" applyFill="1" applyBorder="1"/>
    <xf numFmtId="0" fontId="0" fillId="6" borderId="6" xfId="0" applyFill="1" applyBorder="1"/>
    <xf numFmtId="0" fontId="0" fillId="6" borderId="10" xfId="0" applyFill="1" applyBorder="1"/>
    <xf numFmtId="0" fontId="0" fillId="6" borderId="10" xfId="0" applyFill="1" applyBorder="1" applyAlignment="1">
      <alignment horizontal="left"/>
    </xf>
    <xf numFmtId="0" fontId="0" fillId="6" borderId="7" xfId="0" applyFill="1" applyBorder="1"/>
    <xf numFmtId="0" fontId="0" fillId="0" borderId="10" xfId="0" applyBorder="1"/>
    <xf numFmtId="0" fontId="0" fillId="6" borderId="0" xfId="0" applyFill="1"/>
    <xf numFmtId="0" fontId="0" fillId="6" borderId="12" xfId="0" applyFill="1" applyBorder="1"/>
    <xf numFmtId="0" fontId="6" fillId="6" borderId="0" xfId="0" applyFont="1" applyFill="1"/>
    <xf numFmtId="0" fontId="0" fillId="6" borderId="0" xfId="0" applyFill="1" applyAlignment="1">
      <alignment horizontal="left"/>
    </xf>
    <xf numFmtId="0" fontId="0" fillId="6" borderId="13" xfId="0" applyFill="1" applyBorder="1"/>
    <xf numFmtId="0" fontId="2" fillId="2" borderId="2" xfId="0" applyFont="1" applyFill="1" applyBorder="1"/>
    <xf numFmtId="0" fontId="0" fillId="6" borderId="0" xfId="0" applyFill="1" applyAlignment="1">
      <alignment horizontal="left" wrapText="1"/>
    </xf>
    <xf numFmtId="0" fontId="4" fillId="6" borderId="0" xfId="0" applyFont="1" applyFill="1" applyAlignment="1">
      <alignment horizontal="right" vertical="top"/>
    </xf>
    <xf numFmtId="0" fontId="4" fillId="6" borderId="0" xfId="0" applyFont="1" applyFill="1" applyAlignment="1">
      <alignment vertical="top"/>
    </xf>
    <xf numFmtId="0" fontId="0" fillId="5" borderId="3" xfId="0" applyFill="1" applyBorder="1"/>
    <xf numFmtId="0" fontId="0" fillId="6" borderId="13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3" borderId="3" xfId="0" applyFill="1" applyBorder="1"/>
    <xf numFmtId="0" fontId="0" fillId="6" borderId="17" xfId="0" applyFill="1" applyBorder="1"/>
    <xf numFmtId="0" fontId="1" fillId="0" borderId="14" xfId="0" applyFont="1" applyBorder="1" applyAlignment="1">
      <alignment horizontal="left"/>
    </xf>
    <xf numFmtId="0" fontId="4" fillId="0" borderId="15" xfId="0" applyFont="1" applyBorder="1" applyAlignment="1">
      <alignment horizontal="right" vertical="top"/>
    </xf>
    <xf numFmtId="0" fontId="4" fillId="0" borderId="16" xfId="0" applyFont="1" applyBorder="1" applyAlignment="1">
      <alignment vertical="top"/>
    </xf>
    <xf numFmtId="0" fontId="1" fillId="4" borderId="3" xfId="0" applyFont="1" applyFill="1" applyBorder="1"/>
    <xf numFmtId="0" fontId="0" fillId="0" borderId="12" xfId="0" applyBorder="1" applyAlignment="1">
      <alignment horizontal="right"/>
    </xf>
    <xf numFmtId="0" fontId="0" fillId="0" borderId="13" xfId="0" applyBorder="1"/>
    <xf numFmtId="0" fontId="3" fillId="0" borderId="13" xfId="0" applyFont="1" applyBorder="1"/>
    <xf numFmtId="0" fontId="3" fillId="6" borderId="0" xfId="0" applyFont="1" applyFill="1"/>
    <xf numFmtId="0" fontId="1" fillId="0" borderId="5" xfId="0" applyFont="1" applyBorder="1" applyAlignment="1">
      <alignment horizontal="left" wrapText="1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1" xfId="0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9" xfId="0" applyBorder="1"/>
    <xf numFmtId="0" fontId="0" fillId="6" borderId="0" xfId="0" applyFill="1" applyAlignment="1">
      <alignment horizontal="right"/>
    </xf>
    <xf numFmtId="0" fontId="4" fillId="6" borderId="0" xfId="0" applyFont="1" applyFill="1"/>
    <xf numFmtId="0" fontId="0" fillId="6" borderId="8" xfId="0" applyFill="1" applyBorder="1"/>
    <xf numFmtId="0" fontId="0" fillId="6" borderId="11" xfId="0" applyFill="1" applyBorder="1"/>
    <xf numFmtId="0" fontId="0" fillId="6" borderId="11" xfId="0" applyFill="1" applyBorder="1" applyAlignment="1">
      <alignment horizontal="left"/>
    </xf>
    <xf numFmtId="0" fontId="0" fillId="6" borderId="9" xfId="0" applyFill="1" applyBorder="1"/>
    <xf numFmtId="164" fontId="1" fillId="6" borderId="0" xfId="0" applyNumberFormat="1" applyFont="1" applyFill="1"/>
    <xf numFmtId="0" fontId="0" fillId="5" borderId="1" xfId="0" applyFill="1" applyBorder="1"/>
    <xf numFmtId="0" fontId="0" fillId="0" borderId="1" xfId="0" applyBorder="1"/>
    <xf numFmtId="0" fontId="0" fillId="2" borderId="1" xfId="0" applyFill="1" applyBorder="1"/>
    <xf numFmtId="2" fontId="0" fillId="2" borderId="1" xfId="0" applyNumberFormat="1" applyFill="1" applyBorder="1"/>
    <xf numFmtId="2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</cellXfs>
  <cellStyles count="2">
    <cellStyle name="Bad" xfId="1" builtinId="27"/>
    <cellStyle name="Normal" xfId="0" builtinId="0"/>
  </cellStyles>
  <dxfs count="4"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 vs Lumens per 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15724268781872058"/>
                  <c:y val="7.866709192754238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'LUXwrap Pro Performance Calc'!$X$6:$X$12</c:f>
            </c:numRef>
          </c:xVal>
          <c:yVal>
            <c:numRef>
              <c:f>'LUXwrap Pro Performance Calc'!$Y$6:$Y$12</c:f>
            </c:numRef>
          </c:yVal>
          <c:smooth val="0"/>
          <c:extLst>
            <c:ext xmlns:c16="http://schemas.microsoft.com/office/drawing/2014/chart" uri="{C3380CC4-5D6E-409C-BE32-E72D297353CC}">
              <c16:uniqueId val="{00000009-B4FE-4E9A-8E1E-C32B32DB957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6.3083176980186201E-2"/>
                  <c:y val="0.1163012864442164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'LUXwrap Pro Performance Calc'!$X$6:$X$12</c:f>
            </c:numRef>
          </c:xVal>
          <c:yVal>
            <c:numRef>
              <c:f>'LUXwrap Pro Performance Calc'!$V$6:$V$12</c:f>
            </c:numRef>
          </c:yVal>
          <c:smooth val="0"/>
          <c:extLst>
            <c:ext xmlns:c16="http://schemas.microsoft.com/office/drawing/2014/chart" uri="{C3380CC4-5D6E-409C-BE32-E72D297353CC}">
              <c16:uniqueId val="{0000000B-B4FE-4E9A-8E1E-C32B32DB9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073295"/>
        <c:axId val="1239482015"/>
      </c:scatterChart>
      <c:valAx>
        <c:axId val="11810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482015"/>
        <c:crosses val="autoZero"/>
        <c:crossBetween val="midCat"/>
      </c:valAx>
      <c:valAx>
        <c:axId val="12394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07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 vs Lumens per 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'LUXwrap Pro Performance Calc'!$Y$6:$Y$12</c:f>
            </c:numRef>
          </c:xVal>
          <c:yVal>
            <c:numRef>
              <c:f>'LUXwrap Pro Performance Calc'!$X$6:$X$12</c:f>
            </c:numRef>
          </c:yVal>
          <c:smooth val="0"/>
          <c:extLst>
            <c:ext xmlns:c16="http://schemas.microsoft.com/office/drawing/2014/chart" uri="{C3380CC4-5D6E-409C-BE32-E72D297353CC}">
              <c16:uniqueId val="{00000004-58E2-4CA8-9BEB-49E797A07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073295"/>
        <c:axId val="1239482015"/>
      </c:scatterChart>
      <c:valAx>
        <c:axId val="11810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482015"/>
        <c:crosses val="autoZero"/>
        <c:crossBetween val="midCat"/>
      </c:valAx>
      <c:valAx>
        <c:axId val="123948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073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1321134</xdr:colOff>
      <xdr:row>0</xdr:row>
      <xdr:rowOff>140608</xdr:rowOff>
    </xdr:from>
    <xdr:to>
      <xdr:col>11</xdr:col>
      <xdr:colOff>493598</xdr:colOff>
      <xdr:row>3</xdr:row>
      <xdr:rowOff>64158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DFE09B5-CCF4-4B84-A7AF-702C6E357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7759" y="140608"/>
          <a:ext cx="2469431" cy="517275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14</xdr:row>
      <xdr:rowOff>0</xdr:rowOff>
    </xdr:from>
    <xdr:to>
      <xdr:col>24</xdr:col>
      <xdr:colOff>276392</xdr:colOff>
      <xdr:row>29</xdr:row>
      <xdr:rowOff>83052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CEA720A-D848-41E8-8137-FE53021D1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14</xdr:row>
      <xdr:rowOff>0</xdr:rowOff>
    </xdr:from>
    <xdr:to>
      <xdr:col>33</xdr:col>
      <xdr:colOff>276392</xdr:colOff>
      <xdr:row>29</xdr:row>
      <xdr:rowOff>83052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AAF6109-D8A5-460A-9C2C-0934C6D83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F6BA-58BD-4128-9007-FCDAA15F0879}">
  <dimension ref="A1:AL55"/>
  <sheetViews>
    <sheetView showGridLines="0" tabSelected="1" zoomScale="85" zoomScaleNormal="85" workbookViewId="0">
      <selection activeCell="J31" sqref="J31"/>
    </sheetView>
  </sheetViews>
  <sheetFormatPr defaultColWidth="8.81640625" defaultRowHeight="14.5" x14ac:dyDescent="0.35"/>
  <cols>
    <col min="1" max="1" width="3" style="13" customWidth="1"/>
    <col min="2" max="2" width="2.81640625" style="13" customWidth="1"/>
    <col min="3" max="3" width="11.453125" style="13" customWidth="1"/>
    <col min="4" max="4" width="8.81640625" style="13"/>
    <col min="5" max="5" width="20.453125" style="16" customWidth="1"/>
    <col min="6" max="6" width="13.7265625" style="13" customWidth="1"/>
    <col min="7" max="7" width="12.54296875" style="13" customWidth="1"/>
    <col min="8" max="8" width="15.7265625" style="13" customWidth="1"/>
    <col min="9" max="9" width="22.08984375" style="13" customWidth="1"/>
    <col min="10" max="11" width="12.54296875" style="13" customWidth="1"/>
    <col min="12" max="12" width="10.453125" style="13" customWidth="1"/>
    <col min="13" max="13" width="8.08984375" style="13" hidden="1" customWidth="1"/>
    <col min="14" max="14" width="13.7265625" style="13" hidden="1" customWidth="1"/>
    <col min="15" max="15" width="26.26953125" style="13" hidden="1" customWidth="1"/>
    <col min="16" max="16" width="22.453125" style="13" hidden="1" customWidth="1"/>
    <col min="17" max="38" width="8.81640625" style="13" hidden="1" customWidth="1"/>
    <col min="39" max="16384" width="8.81640625" style="13"/>
  </cols>
  <sheetData>
    <row r="1" spans="1:38" ht="13.5" customHeight="1" x14ac:dyDescent="0.35">
      <c r="A1" s="8"/>
      <c r="B1" s="9"/>
      <c r="C1" s="9"/>
      <c r="D1" s="9"/>
      <c r="E1" s="10"/>
      <c r="F1" s="9"/>
      <c r="G1" s="9"/>
      <c r="H1" s="9"/>
      <c r="I1" s="9"/>
      <c r="J1" s="9"/>
      <c r="K1" s="9"/>
      <c r="L1" s="11"/>
      <c r="M1" s="12"/>
      <c r="N1" s="12"/>
      <c r="O1" s="12"/>
      <c r="P1"/>
    </row>
    <row r="2" spans="1:38" ht="19" thickBot="1" x14ac:dyDescent="0.5">
      <c r="A2" s="14"/>
      <c r="C2" s="15" t="s">
        <v>73</v>
      </c>
      <c r="L2" s="17"/>
      <c r="M2"/>
      <c r="N2"/>
      <c r="O2" t="s">
        <v>5</v>
      </c>
      <c r="P2"/>
    </row>
    <row r="3" spans="1:38" x14ac:dyDescent="0.35">
      <c r="A3" s="14"/>
      <c r="C3" s="13" t="s">
        <v>52</v>
      </c>
      <c r="L3" s="17"/>
      <c r="M3"/>
      <c r="N3"/>
      <c r="O3" s="18" t="s">
        <v>2</v>
      </c>
      <c r="P3"/>
    </row>
    <row r="4" spans="1:38" x14ac:dyDescent="0.35">
      <c r="A4" s="14"/>
      <c r="E4" s="19"/>
      <c r="F4" s="20"/>
      <c r="G4" s="21"/>
      <c r="H4" s="21"/>
      <c r="I4" s="21"/>
      <c r="J4" s="21"/>
      <c r="K4" s="21"/>
      <c r="L4" s="17"/>
      <c r="M4"/>
      <c r="N4"/>
      <c r="O4" s="22" t="s">
        <v>16</v>
      </c>
      <c r="P4"/>
      <c r="R4" s="13" t="s">
        <v>34</v>
      </c>
      <c r="AA4" s="13" t="s">
        <v>72</v>
      </c>
    </row>
    <row r="5" spans="1:38" ht="15" thickBot="1" x14ac:dyDescent="0.4">
      <c r="A5" s="14"/>
      <c r="C5" t="s">
        <v>5</v>
      </c>
      <c r="E5" s="19"/>
      <c r="F5" s="20"/>
      <c r="G5" s="21"/>
      <c r="H5" s="21"/>
      <c r="I5" s="21"/>
      <c r="J5" s="21"/>
      <c r="K5" s="21"/>
      <c r="L5" s="23"/>
      <c r="M5" s="24"/>
      <c r="N5"/>
      <c r="O5" s="25" t="s">
        <v>3</v>
      </c>
      <c r="P5"/>
      <c r="V5" s="26" t="s">
        <v>35</v>
      </c>
      <c r="X5" s="26" t="s">
        <v>42</v>
      </c>
      <c r="Y5" s="26" t="s">
        <v>45</v>
      </c>
      <c r="AA5" s="26" t="s">
        <v>65</v>
      </c>
      <c r="AB5" s="26" t="s">
        <v>66</v>
      </c>
      <c r="AC5" s="26" t="s">
        <v>67</v>
      </c>
      <c r="AD5" s="26" t="s">
        <v>68</v>
      </c>
      <c r="AE5" s="26" t="s">
        <v>69</v>
      </c>
      <c r="AF5" s="26" t="s">
        <v>70</v>
      </c>
      <c r="AG5" s="26" t="s">
        <v>35</v>
      </c>
      <c r="AH5" s="26" t="s">
        <v>71</v>
      </c>
      <c r="AI5" s="26" t="s">
        <v>23</v>
      </c>
      <c r="AJ5" s="26" t="s">
        <v>31</v>
      </c>
      <c r="AK5" s="26" t="s">
        <v>33</v>
      </c>
      <c r="AL5" s="26" t="s">
        <v>32</v>
      </c>
    </row>
    <row r="6" spans="1:38" ht="14.5" customHeight="1" thickBot="1" x14ac:dyDescent="0.4">
      <c r="A6" s="14"/>
      <c r="C6" s="18" t="s">
        <v>59</v>
      </c>
      <c r="E6" s="27" t="s">
        <v>54</v>
      </c>
      <c r="F6" s="28"/>
      <c r="G6" s="29"/>
      <c r="H6" s="21"/>
      <c r="I6" s="27" t="s">
        <v>40</v>
      </c>
      <c r="J6" s="28"/>
      <c r="K6" s="29"/>
      <c r="L6" s="23"/>
      <c r="M6" s="24"/>
      <c r="N6"/>
      <c r="O6" s="30" t="s">
        <v>4</v>
      </c>
      <c r="P6"/>
      <c r="V6" s="13">
        <v>30.85</v>
      </c>
      <c r="X6" s="13">
        <v>1.5625</v>
      </c>
      <c r="Y6" s="13">
        <v>4.3736111111111109</v>
      </c>
      <c r="AA6" s="13">
        <v>0.43890000000000001</v>
      </c>
      <c r="AB6" s="13">
        <v>0.40510000000000002</v>
      </c>
      <c r="AC6" s="13">
        <v>2975</v>
      </c>
      <c r="AD6" s="13">
        <v>94</v>
      </c>
      <c r="AE6" s="13">
        <v>83</v>
      </c>
      <c r="AF6" s="13">
        <v>1691.6</v>
      </c>
      <c r="AG6" s="13">
        <v>31.07</v>
      </c>
      <c r="AH6" s="13">
        <v>300</v>
      </c>
      <c r="AI6" s="13">
        <v>9.32</v>
      </c>
      <c r="AJ6" s="13">
        <v>181.5</v>
      </c>
      <c r="AK6" s="13">
        <v>150</v>
      </c>
      <c r="AL6" s="13">
        <v>845.8</v>
      </c>
    </row>
    <row r="7" spans="1:38" ht="15.5" thickTop="1" thickBot="1" x14ac:dyDescent="0.4">
      <c r="A7" s="14"/>
      <c r="C7" s="30" t="s">
        <v>60</v>
      </c>
      <c r="E7" s="31" t="s">
        <v>0</v>
      </c>
      <c r="F7" s="2">
        <v>1400</v>
      </c>
      <c r="G7" s="32" t="s">
        <v>1</v>
      </c>
      <c r="I7" s="31" t="s">
        <v>56</v>
      </c>
      <c r="J7" s="2">
        <v>875</v>
      </c>
      <c r="K7" s="32" t="s">
        <v>9</v>
      </c>
      <c r="L7" s="23"/>
      <c r="M7" s="24"/>
      <c r="N7"/>
      <c r="O7" s="1" t="s">
        <v>30</v>
      </c>
      <c r="P7"/>
      <c r="V7" s="13">
        <v>31.07</v>
      </c>
      <c r="X7" s="13">
        <v>2.0833333333333335</v>
      </c>
      <c r="Y7" s="13">
        <v>5.8736111111111109</v>
      </c>
      <c r="AA7" s="13">
        <v>0.4385</v>
      </c>
      <c r="AB7" s="13">
        <v>0.4047</v>
      </c>
      <c r="AC7" s="13">
        <v>2979</v>
      </c>
      <c r="AD7" s="13">
        <v>94.1</v>
      </c>
      <c r="AE7" s="13">
        <v>64</v>
      </c>
      <c r="AF7" s="13">
        <v>1259.5999999999999</v>
      </c>
      <c r="AG7" s="13">
        <v>30.85</v>
      </c>
      <c r="AH7" s="13">
        <v>225</v>
      </c>
      <c r="AI7" s="13">
        <v>6.94</v>
      </c>
      <c r="AJ7" s="13">
        <v>181.5</v>
      </c>
      <c r="AK7" s="13">
        <v>112.5</v>
      </c>
      <c r="AL7" s="13">
        <v>629.79999999999995</v>
      </c>
    </row>
    <row r="8" spans="1:38" ht="15" thickBot="1" x14ac:dyDescent="0.4">
      <c r="A8" s="14"/>
      <c r="C8" s="1" t="s">
        <v>58</v>
      </c>
      <c r="E8" s="31" t="s">
        <v>8</v>
      </c>
      <c r="F8" s="2">
        <v>48</v>
      </c>
      <c r="G8" s="32" t="s">
        <v>6</v>
      </c>
      <c r="I8" s="31" t="s">
        <v>8</v>
      </c>
      <c r="J8" s="2">
        <v>48</v>
      </c>
      <c r="K8" s="32" t="s">
        <v>6</v>
      </c>
      <c r="L8" s="23"/>
      <c r="M8" s="24"/>
      <c r="N8"/>
      <c r="O8"/>
      <c r="P8"/>
      <c r="V8" s="13">
        <v>31.8</v>
      </c>
      <c r="X8" s="13">
        <v>5</v>
      </c>
      <c r="Y8" s="13">
        <v>17.5</v>
      </c>
      <c r="AA8" s="13">
        <v>0.43880000000000002</v>
      </c>
      <c r="AB8" s="13">
        <v>0.40500000000000003</v>
      </c>
      <c r="AC8" s="13">
        <v>2977</v>
      </c>
      <c r="AD8" s="13">
        <v>94</v>
      </c>
      <c r="AE8" s="13">
        <v>64</v>
      </c>
      <c r="AF8" s="13">
        <v>821.1</v>
      </c>
      <c r="AG8" s="13">
        <v>30.66</v>
      </c>
      <c r="AH8" s="13">
        <v>150</v>
      </c>
      <c r="AI8" s="13">
        <v>4.5999999999999996</v>
      </c>
      <c r="AJ8" s="13">
        <v>178.6</v>
      </c>
      <c r="AK8" s="13">
        <v>75</v>
      </c>
      <c r="AL8" s="13">
        <v>410.6</v>
      </c>
    </row>
    <row r="9" spans="1:38" x14ac:dyDescent="0.35">
      <c r="A9" s="14"/>
      <c r="E9" s="31" t="s">
        <v>57</v>
      </c>
      <c r="F9" s="3" t="s">
        <v>18</v>
      </c>
      <c r="G9" s="33"/>
      <c r="H9" s="34"/>
      <c r="I9" s="31" t="s">
        <v>57</v>
      </c>
      <c r="J9" s="3" t="s">
        <v>18</v>
      </c>
      <c r="K9" s="33"/>
      <c r="L9" s="17"/>
      <c r="M9"/>
      <c r="N9"/>
      <c r="O9"/>
      <c r="P9"/>
      <c r="V9" s="13">
        <v>31.8</v>
      </c>
      <c r="X9" s="13">
        <v>7</v>
      </c>
      <c r="Y9" s="13">
        <v>23.7</v>
      </c>
      <c r="AA9" s="13">
        <v>0.43969999999999998</v>
      </c>
      <c r="AB9" s="13">
        <v>0.40560000000000002</v>
      </c>
      <c r="AC9" s="13">
        <v>2967</v>
      </c>
      <c r="AD9" s="13">
        <v>93.8</v>
      </c>
      <c r="AE9" s="13">
        <v>63</v>
      </c>
      <c r="AF9" s="13">
        <v>387.2</v>
      </c>
      <c r="AG9" s="13">
        <v>30.35</v>
      </c>
      <c r="AH9" s="13">
        <v>75</v>
      </c>
      <c r="AI9" s="13">
        <v>2.2799999999999998</v>
      </c>
      <c r="AJ9" s="13">
        <v>170.1</v>
      </c>
      <c r="AK9" s="13">
        <v>37.5</v>
      </c>
      <c r="AL9" s="13">
        <v>193.6</v>
      </c>
    </row>
    <row r="10" spans="1:38" ht="15" thickBot="1" x14ac:dyDescent="0.4">
      <c r="A10" s="14"/>
      <c r="E10" s="31" t="s">
        <v>14</v>
      </c>
      <c r="F10" s="2">
        <v>25</v>
      </c>
      <c r="G10" s="32" t="s">
        <v>29</v>
      </c>
      <c r="I10" s="31" t="s">
        <v>14</v>
      </c>
      <c r="J10" s="2">
        <v>25</v>
      </c>
      <c r="K10" s="32" t="s">
        <v>29</v>
      </c>
      <c r="L10" s="17"/>
      <c r="M10"/>
      <c r="N10" s="35" t="s">
        <v>21</v>
      </c>
      <c r="O10" s="35" t="s">
        <v>38</v>
      </c>
      <c r="P10" s="35" t="s">
        <v>61</v>
      </c>
      <c r="V10" s="13">
        <v>31.931999999999999</v>
      </c>
      <c r="X10" s="13">
        <v>8.3333333333333339</v>
      </c>
      <c r="Y10" s="13">
        <v>26.777272727272731</v>
      </c>
      <c r="AA10" s="13">
        <v>0.43940000000000001</v>
      </c>
      <c r="AB10" s="13">
        <v>0.40560000000000002</v>
      </c>
      <c r="AC10" s="13">
        <v>2971</v>
      </c>
      <c r="AD10" s="13">
        <v>93.8</v>
      </c>
      <c r="AE10" s="13">
        <v>64</v>
      </c>
      <c r="AF10" s="13">
        <v>222.3</v>
      </c>
      <c r="AG10" s="13">
        <v>30.15</v>
      </c>
      <c r="AH10" s="13">
        <v>44.9</v>
      </c>
      <c r="AI10" s="13">
        <v>1.35</v>
      </c>
      <c r="AJ10" s="13">
        <v>164.3</v>
      </c>
      <c r="AK10" s="13">
        <v>22.5</v>
      </c>
      <c r="AL10" s="13">
        <v>111.2</v>
      </c>
    </row>
    <row r="11" spans="1:38" x14ac:dyDescent="0.35">
      <c r="A11" s="14"/>
      <c r="E11" s="36" t="s">
        <v>12</v>
      </c>
      <c r="F11" s="4">
        <f>F7*(F8/12)</f>
        <v>5600</v>
      </c>
      <c r="G11" s="37" t="s">
        <v>11</v>
      </c>
      <c r="I11" s="36" t="s">
        <v>0</v>
      </c>
      <c r="J11" s="4">
        <f>AD46</f>
        <v>1391.3601354166667</v>
      </c>
      <c r="K11" s="37" t="s">
        <v>1</v>
      </c>
      <c r="L11" s="17"/>
      <c r="M11"/>
      <c r="N11" s="38" t="s">
        <v>17</v>
      </c>
      <c r="O11" s="39">
        <f>P11/P12</f>
        <v>0.96723163841807902</v>
      </c>
      <c r="P11" s="39">
        <v>85.6</v>
      </c>
      <c r="V11" s="13">
        <v>32.640999999999998</v>
      </c>
      <c r="X11" s="13">
        <v>16.666666666666668</v>
      </c>
      <c r="Y11" s="13">
        <v>52.80681818181818</v>
      </c>
      <c r="AA11" s="13">
        <v>0.43880000000000002</v>
      </c>
      <c r="AB11" s="13">
        <v>0.40479999999999999</v>
      </c>
      <c r="AC11" s="13">
        <v>2976</v>
      </c>
      <c r="AD11" s="13">
        <v>93.8</v>
      </c>
      <c r="AE11" s="13">
        <v>64</v>
      </c>
      <c r="AF11" s="13">
        <v>65.7</v>
      </c>
      <c r="AG11" s="13">
        <v>29.74</v>
      </c>
      <c r="AH11" s="13">
        <v>14.9</v>
      </c>
      <c r="AI11" s="13">
        <v>0.44</v>
      </c>
      <c r="AJ11" s="13">
        <v>148.4</v>
      </c>
      <c r="AK11" s="13">
        <v>7.5</v>
      </c>
      <c r="AL11" s="13">
        <v>32.9</v>
      </c>
    </row>
    <row r="12" spans="1:38" x14ac:dyDescent="0.35">
      <c r="A12" s="14"/>
      <c r="E12" s="31" t="s">
        <v>56</v>
      </c>
      <c r="F12" s="5">
        <f>U47</f>
        <v>875.3610666666666</v>
      </c>
      <c r="G12" s="32" t="s">
        <v>9</v>
      </c>
      <c r="I12" s="31" t="s">
        <v>12</v>
      </c>
      <c r="J12" s="5">
        <f>AD47</f>
        <v>5565.4405416666668</v>
      </c>
      <c r="K12" s="32" t="s">
        <v>11</v>
      </c>
      <c r="L12" s="17"/>
      <c r="M12"/>
      <c r="N12" s="38" t="s">
        <v>18</v>
      </c>
      <c r="O12" s="39">
        <v>1</v>
      </c>
      <c r="P12" s="39">
        <v>88.5</v>
      </c>
      <c r="V12" s="13">
        <v>33.204000000000001</v>
      </c>
      <c r="X12" s="13">
        <v>25</v>
      </c>
      <c r="Y12" s="13">
        <v>77.35681818181817</v>
      </c>
      <c r="AA12" s="13">
        <v>0.44009999999999999</v>
      </c>
      <c r="AB12" s="13">
        <v>0.40639999999999998</v>
      </c>
      <c r="AC12" s="13">
        <v>2966</v>
      </c>
      <c r="AD12" s="13">
        <v>93.9</v>
      </c>
      <c r="AE12" s="13">
        <v>62</v>
      </c>
      <c r="AF12" s="13">
        <v>10.6</v>
      </c>
      <c r="AG12" s="13">
        <v>29.17</v>
      </c>
      <c r="AH12" s="13">
        <v>3.1</v>
      </c>
      <c r="AI12" s="13">
        <v>0.09</v>
      </c>
      <c r="AJ12" s="13">
        <v>116.8</v>
      </c>
      <c r="AK12" s="13">
        <v>1.6</v>
      </c>
      <c r="AL12" s="13">
        <v>5.3</v>
      </c>
    </row>
    <row r="13" spans="1:38" x14ac:dyDescent="0.35">
      <c r="A13" s="14"/>
      <c r="E13" s="31" t="s">
        <v>44</v>
      </c>
      <c r="F13" s="5">
        <f>U48</f>
        <v>218.84026666666665</v>
      </c>
      <c r="G13" s="32" t="s">
        <v>33</v>
      </c>
      <c r="I13" s="31" t="s">
        <v>44</v>
      </c>
      <c r="J13" s="5">
        <f>AD48</f>
        <v>218.75</v>
      </c>
      <c r="K13" s="32" t="s">
        <v>33</v>
      </c>
      <c r="L13" s="17"/>
      <c r="M13"/>
      <c r="N13" s="38" t="s">
        <v>19</v>
      </c>
      <c r="O13" s="39">
        <f>P13/P12</f>
        <v>1.0056497175141244</v>
      </c>
      <c r="P13" s="39">
        <v>89</v>
      </c>
    </row>
    <row r="14" spans="1:38" x14ac:dyDescent="0.35">
      <c r="A14" s="14"/>
      <c r="E14" s="31" t="s">
        <v>25</v>
      </c>
      <c r="F14" s="6">
        <f>U49</f>
        <v>32.70401121807383</v>
      </c>
      <c r="G14" s="32" t="s">
        <v>24</v>
      </c>
      <c r="I14" s="31" t="s">
        <v>25</v>
      </c>
      <c r="J14" s="6">
        <f>AD49</f>
        <v>32.703484157986111</v>
      </c>
      <c r="K14" s="32" t="s">
        <v>24</v>
      </c>
      <c r="L14" s="17"/>
      <c r="M14"/>
      <c r="N14" s="38" t="s">
        <v>20</v>
      </c>
      <c r="O14" s="39">
        <f>P14/P12</f>
        <v>1.0338983050847457</v>
      </c>
      <c r="P14" s="39">
        <v>91.5</v>
      </c>
      <c r="R14" s="13" t="s">
        <v>36</v>
      </c>
      <c r="AA14" s="13" t="s">
        <v>36</v>
      </c>
    </row>
    <row r="15" spans="1:38" x14ac:dyDescent="0.35">
      <c r="A15" s="14"/>
      <c r="E15" s="31" t="s">
        <v>27</v>
      </c>
      <c r="F15" s="5">
        <f>F11/F16</f>
        <v>195.61392949353751</v>
      </c>
      <c r="G15" s="32" t="s">
        <v>28</v>
      </c>
      <c r="I15" s="31" t="s">
        <v>27</v>
      </c>
      <c r="J15" s="5">
        <f>J12/J16</f>
        <v>194.49008691134387</v>
      </c>
      <c r="K15" s="32" t="s">
        <v>28</v>
      </c>
      <c r="L15" s="17"/>
      <c r="M15"/>
      <c r="N15"/>
      <c r="O15"/>
      <c r="P15"/>
    </row>
    <row r="16" spans="1:38" ht="16" customHeight="1" thickBot="1" x14ac:dyDescent="0.4">
      <c r="A16" s="14"/>
      <c r="E16" s="40" t="s">
        <v>26</v>
      </c>
      <c r="F16" s="7">
        <f>F14*F12/1000</f>
        <v>28.627818144131741</v>
      </c>
      <c r="G16" s="41" t="s">
        <v>23</v>
      </c>
      <c r="I16" s="40" t="s">
        <v>26</v>
      </c>
      <c r="J16" s="7">
        <f>J14*J7/1000</f>
        <v>28.615548638237847</v>
      </c>
      <c r="K16" s="41" t="s">
        <v>23</v>
      </c>
      <c r="L16" s="17"/>
      <c r="M16"/>
      <c r="N16" s="35" t="s">
        <v>55</v>
      </c>
      <c r="O16" s="35" t="s">
        <v>49</v>
      </c>
      <c r="P16"/>
    </row>
    <row r="17" spans="1:28" x14ac:dyDescent="0.35">
      <c r="A17" s="14"/>
      <c r="E17" s="42"/>
      <c r="L17" s="17"/>
      <c r="M17"/>
      <c r="N17" s="38">
        <v>25</v>
      </c>
      <c r="O17" s="39">
        <v>1</v>
      </c>
      <c r="P17"/>
    </row>
    <row r="18" spans="1:28" x14ac:dyDescent="0.35">
      <c r="A18" s="14"/>
      <c r="C18" s="43" t="s">
        <v>53</v>
      </c>
      <c r="E18" s="13"/>
      <c r="L18" s="17"/>
      <c r="M18"/>
      <c r="N18" s="38">
        <v>45</v>
      </c>
      <c r="O18" s="39">
        <v>0.96</v>
      </c>
      <c r="P18"/>
    </row>
    <row r="19" spans="1:28" ht="15" thickBot="1" x14ac:dyDescent="0.4">
      <c r="A19" s="44"/>
      <c r="B19" s="45"/>
      <c r="C19" s="45"/>
      <c r="D19" s="45"/>
      <c r="E19" s="46"/>
      <c r="F19" s="45"/>
      <c r="G19" s="45"/>
      <c r="H19" s="45"/>
      <c r="I19" s="45"/>
      <c r="J19" s="45"/>
      <c r="K19" s="45"/>
      <c r="L19" s="47"/>
      <c r="M19"/>
      <c r="N19" s="38">
        <v>65</v>
      </c>
      <c r="O19" s="39">
        <v>0.92</v>
      </c>
      <c r="P19"/>
    </row>
    <row r="20" spans="1:28" x14ac:dyDescent="0.35">
      <c r="E20" s="13"/>
      <c r="M20"/>
      <c r="N20" s="38">
        <v>85</v>
      </c>
      <c r="O20" s="39">
        <v>0.9</v>
      </c>
      <c r="P20"/>
    </row>
    <row r="21" spans="1:28" x14ac:dyDescent="0.35">
      <c r="E21" s="13"/>
      <c r="M21"/>
      <c r="N21" s="38">
        <v>105</v>
      </c>
      <c r="O21" s="39">
        <v>0.87</v>
      </c>
      <c r="P21"/>
    </row>
    <row r="22" spans="1:28" x14ac:dyDescent="0.35">
      <c r="E22" s="13"/>
      <c r="M22"/>
      <c r="N22" s="38">
        <v>125</v>
      </c>
      <c r="O22" s="39">
        <v>0.83</v>
      </c>
      <c r="P22"/>
    </row>
    <row r="23" spans="1:28" x14ac:dyDescent="0.35">
      <c r="E23" s="13"/>
      <c r="M23"/>
      <c r="P23"/>
    </row>
    <row r="24" spans="1:28" x14ac:dyDescent="0.35">
      <c r="H24" s="34"/>
      <c r="I24" s="34"/>
      <c r="J24" s="34"/>
      <c r="K24" s="34"/>
      <c r="M24"/>
      <c r="N24"/>
      <c r="O24"/>
      <c r="P24"/>
    </row>
    <row r="25" spans="1:28" x14ac:dyDescent="0.35">
      <c r="M25"/>
      <c r="N25"/>
      <c r="O25"/>
      <c r="P25"/>
    </row>
    <row r="26" spans="1:28" x14ac:dyDescent="0.35">
      <c r="N26"/>
      <c r="O26"/>
    </row>
    <row r="27" spans="1:28" x14ac:dyDescent="0.35">
      <c r="N27"/>
      <c r="O27"/>
    </row>
    <row r="31" spans="1:28" x14ac:dyDescent="0.35">
      <c r="R31" s="13" t="s">
        <v>46</v>
      </c>
      <c r="U31" s="13" t="s">
        <v>35</v>
      </c>
      <c r="AA31" s="13" t="s">
        <v>9</v>
      </c>
    </row>
    <row r="32" spans="1:28" x14ac:dyDescent="0.35">
      <c r="E32" s="42"/>
      <c r="F32" s="48"/>
      <c r="R32" s="13" t="s">
        <v>47</v>
      </c>
      <c r="S32" s="13">
        <v>-1.5800000000000002E-2</v>
      </c>
      <c r="U32" s="13" t="s">
        <v>47</v>
      </c>
      <c r="V32" s="13">
        <v>-5.0000000000000001E-4</v>
      </c>
      <c r="AA32" s="13" t="s">
        <v>47</v>
      </c>
      <c r="AB32" s="13">
        <v>5.0000000000000001E-4</v>
      </c>
    </row>
    <row r="33" spans="18:31" x14ac:dyDescent="0.35">
      <c r="R33" s="13" t="s">
        <v>37</v>
      </c>
      <c r="S33" s="13">
        <v>3.5114999999999998</v>
      </c>
      <c r="U33" s="13" t="s">
        <v>37</v>
      </c>
      <c r="V33" s="13">
        <v>8.8300000000000003E-2</v>
      </c>
      <c r="AA33" s="13" t="s">
        <v>37</v>
      </c>
      <c r="AB33" s="13">
        <v>0.2787</v>
      </c>
    </row>
    <row r="34" spans="18:31" x14ac:dyDescent="0.35">
      <c r="R34" s="13" t="s">
        <v>48</v>
      </c>
      <c r="S34" s="13">
        <v>-0.78800000000000003</v>
      </c>
      <c r="U34" s="13" t="s">
        <v>48</v>
      </c>
      <c r="V34" s="13">
        <v>31.26</v>
      </c>
      <c r="AA34" s="13" t="s">
        <v>48</v>
      </c>
      <c r="AB34" s="13">
        <v>0.27779999999999999</v>
      </c>
    </row>
    <row r="37" spans="18:31" x14ac:dyDescent="0.35">
      <c r="T37" t="s">
        <v>62</v>
      </c>
      <c r="AC37" t="s">
        <v>39</v>
      </c>
    </row>
    <row r="39" spans="18:31" x14ac:dyDescent="0.35">
      <c r="T39" s="24" t="s">
        <v>22</v>
      </c>
      <c r="U39" s="49">
        <v>2</v>
      </c>
      <c r="V39"/>
      <c r="AC39" s="24" t="s">
        <v>22</v>
      </c>
      <c r="AD39" s="49">
        <v>2</v>
      </c>
      <c r="AE39"/>
    </row>
    <row r="40" spans="18:31" x14ac:dyDescent="0.35">
      <c r="T40" s="24" t="s">
        <v>7</v>
      </c>
      <c r="U40" s="50">
        <v>0.5</v>
      </c>
      <c r="V40" t="s">
        <v>6</v>
      </c>
      <c r="AC40" s="24" t="s">
        <v>7</v>
      </c>
      <c r="AD40" s="50">
        <v>0.5</v>
      </c>
      <c r="AE40" t="s">
        <v>6</v>
      </c>
    </row>
    <row r="41" spans="18:31" x14ac:dyDescent="0.35">
      <c r="T41" s="24" t="s">
        <v>15</v>
      </c>
      <c r="U41" s="50">
        <v>60</v>
      </c>
      <c r="V41" t="s">
        <v>9</v>
      </c>
      <c r="AC41" s="24" t="s">
        <v>15</v>
      </c>
      <c r="AD41" s="50">
        <v>60</v>
      </c>
      <c r="AE41" t="s">
        <v>9</v>
      </c>
    </row>
    <row r="42" spans="18:31" x14ac:dyDescent="0.35">
      <c r="T42" s="24" t="s">
        <v>50</v>
      </c>
      <c r="U42" s="51">
        <f>F7</f>
        <v>1400</v>
      </c>
      <c r="V42" t="s">
        <v>1</v>
      </c>
      <c r="AC42" s="24" t="s">
        <v>40</v>
      </c>
      <c r="AD42" s="51">
        <f>J7</f>
        <v>875</v>
      </c>
      <c r="AE42" t="s">
        <v>43</v>
      </c>
    </row>
    <row r="43" spans="18:31" x14ac:dyDescent="0.35">
      <c r="T43" s="24" t="s">
        <v>41</v>
      </c>
      <c r="U43" s="52">
        <f>F8</f>
        <v>48</v>
      </c>
      <c r="V43" t="s">
        <v>6</v>
      </c>
      <c r="AC43" s="24" t="s">
        <v>41</v>
      </c>
      <c r="AD43" s="52">
        <f>J8</f>
        <v>48</v>
      </c>
      <c r="AE43" t="s">
        <v>6</v>
      </c>
    </row>
    <row r="44" spans="18:31" x14ac:dyDescent="0.35">
      <c r="T44" s="24" t="s">
        <v>10</v>
      </c>
      <c r="U44" s="53">
        <f>U42/$U$54</f>
        <v>58.333333333333336</v>
      </c>
      <c r="V44" t="s">
        <v>45</v>
      </c>
      <c r="AC44" s="24" t="s">
        <v>13</v>
      </c>
      <c r="AD44" s="53">
        <f>AD42/AD43</f>
        <v>18.229166666666668</v>
      </c>
      <c r="AE44" t="s">
        <v>42</v>
      </c>
    </row>
    <row r="45" spans="18:31" x14ac:dyDescent="0.35">
      <c r="T45" s="24" t="s">
        <v>13</v>
      </c>
      <c r="U45" s="54">
        <f>((AB32*U44^2)+(AB33*U44)+AB34)/SUMIF($N$11:$N$14,$F$9,$O$11:$O$14)/SUMIF($N$17:$N$22,$F$10,O17:O22)</f>
        <v>18.236688888888889</v>
      </c>
      <c r="V45" t="s">
        <v>42</v>
      </c>
      <c r="AC45" s="24" t="s">
        <v>10</v>
      </c>
      <c r="AD45" s="55">
        <f>((S32*AD44^2)+(S33*AD44)+S34)*SUMIF($N$11:$N$14,$J$9,$O$11:$O$14)*SUMIF($N$17:$N$22,J10,$O$17:$O$22)</f>
        <v>57.973338975694446</v>
      </c>
      <c r="AE45" t="s">
        <v>45</v>
      </c>
    </row>
    <row r="46" spans="18:31" x14ac:dyDescent="0.35">
      <c r="T46" s="24" t="s">
        <v>12</v>
      </c>
      <c r="U46" s="55">
        <f>U42*(U43/$U$55)</f>
        <v>5600</v>
      </c>
      <c r="V46" t="s">
        <v>11</v>
      </c>
      <c r="AC46" s="24" t="s">
        <v>0</v>
      </c>
      <c r="AD46" s="55">
        <f>AD45*24</f>
        <v>1391.3601354166667</v>
      </c>
      <c r="AE46" t="s">
        <v>1</v>
      </c>
    </row>
    <row r="47" spans="18:31" x14ac:dyDescent="0.35">
      <c r="T47" s="24" t="s">
        <v>51</v>
      </c>
      <c r="U47" s="55">
        <f>U45*U43</f>
        <v>875.3610666666666</v>
      </c>
      <c r="V47" t="s">
        <v>9</v>
      </c>
      <c r="AC47" s="24" t="s">
        <v>12</v>
      </c>
      <c r="AD47" s="55">
        <f>AD45*AD43*2</f>
        <v>5565.4405416666668</v>
      </c>
      <c r="AE47" t="s">
        <v>11</v>
      </c>
    </row>
    <row r="48" spans="18:31" x14ac:dyDescent="0.35">
      <c r="T48" s="24" t="s">
        <v>44</v>
      </c>
      <c r="U48" s="55">
        <f>U47/(U43/$U$55)</f>
        <v>218.84026666666665</v>
      </c>
      <c r="V48" t="s">
        <v>33</v>
      </c>
      <c r="AC48" s="24" t="s">
        <v>44</v>
      </c>
      <c r="AD48" s="55">
        <f>AD44*12</f>
        <v>218.75</v>
      </c>
      <c r="AE48" t="s">
        <v>33</v>
      </c>
    </row>
    <row r="49" spans="20:31" x14ac:dyDescent="0.35">
      <c r="T49" s="24" t="s">
        <v>35</v>
      </c>
      <c r="U49" s="55">
        <f>((V32*U45^2)+(V33*U45)+V34)</f>
        <v>32.70401121807383</v>
      </c>
      <c r="V49" t="s">
        <v>24</v>
      </c>
      <c r="AC49" s="24" t="s">
        <v>35</v>
      </c>
      <c r="AD49" s="55">
        <f>((V32*AD44^2)+(V33*AD44)+V34)</f>
        <v>32.703484157986111</v>
      </c>
      <c r="AE49" t="s">
        <v>24</v>
      </c>
    </row>
    <row r="54" spans="20:31" x14ac:dyDescent="0.35">
      <c r="T54" s="13" t="s">
        <v>63</v>
      </c>
      <c r="U54" s="13">
        <v>24</v>
      </c>
    </row>
    <row r="55" spans="20:31" x14ac:dyDescent="0.35">
      <c r="T55" s="13" t="s">
        <v>64</v>
      </c>
      <c r="U55" s="13">
        <v>12</v>
      </c>
    </row>
  </sheetData>
  <sheetProtection selectLockedCells="1"/>
  <conditionalFormatting sqref="F13">
    <cfRule type="cellIs" dxfId="3" priority="5" operator="greaterThan">
      <formula>720</formula>
    </cfRule>
    <cfRule type="cellIs" dxfId="2" priority="8" operator="lessThan">
      <formula>720</formula>
    </cfRule>
  </conditionalFormatting>
  <conditionalFormatting sqref="J13">
    <cfRule type="cellIs" dxfId="1" priority="1" operator="greaterThan">
      <formula>720</formula>
    </cfRule>
    <cfRule type="cellIs" dxfId="0" priority="2" operator="lessThan">
      <formula>720</formula>
    </cfRule>
  </conditionalFormatting>
  <dataValidations count="2">
    <dataValidation type="list" allowBlank="1" showInputMessage="1" showErrorMessage="1" sqref="J9 F9" xr:uid="{F14D3FE5-A402-4E6B-B703-854E703958D9}">
      <formula1>$N$11:$N$14</formula1>
    </dataValidation>
    <dataValidation type="list" allowBlank="1" showInputMessage="1" showErrorMessage="1" sqref="F10 J10" xr:uid="{6A4A206A-50D6-4FE0-B61E-3C9B389D2B77}">
      <formula1>$N$17:$N$22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LUXwrap Pro Performance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Adam Fender</cp:lastModifiedBy>
  <dcterms:created xsi:type="dcterms:W3CDTF">2020-01-17T03:49:28Z</dcterms:created>
  <dcterms:modified xsi:type="dcterms:W3CDTF">2026-02-09T17:54:42Z</dcterms:modified>
</cp:coreProperties>
</file>